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3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jamiebranson/Desktop/PICTURES/"/>
    </mc:Choice>
  </mc:AlternateContent>
  <xr:revisionPtr revIDLastSave="0" documentId="8_{EF5DB975-823D-A747-8B72-4E56FAEBDD0B}" xr6:coauthVersionLast="47" xr6:coauthVersionMax="47" xr10:uidLastSave="{00000000-0000-0000-0000-000000000000}"/>
  <bookViews>
    <workbookView xWindow="760" yWindow="880" windowWidth="33220" windowHeight="20160" xr2:uid="{191DCFE0-7181-45AA-A8C4-A6A5989D184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7" i="1" l="1"/>
  <c r="H57" i="1" s="1"/>
  <c r="I57" i="1" s="1"/>
  <c r="J57" i="1" s="1"/>
  <c r="K57" i="1" s="1"/>
  <c r="L57" i="1" s="1"/>
  <c r="F57" i="1"/>
  <c r="L55" i="1"/>
  <c r="K55" i="1"/>
  <c r="J55" i="1"/>
  <c r="I55" i="1"/>
  <c r="H55" i="1"/>
  <c r="G55" i="1"/>
  <c r="F55" i="1"/>
  <c r="L41" i="1"/>
  <c r="K41" i="1"/>
  <c r="J41" i="1"/>
  <c r="I41" i="1"/>
  <c r="H41" i="1"/>
  <c r="G41" i="1"/>
  <c r="F41" i="1"/>
  <c r="E41" i="1"/>
  <c r="F34" i="1"/>
  <c r="G34" i="1" s="1"/>
  <c r="H34" i="1" s="1"/>
  <c r="I34" i="1" s="1"/>
  <c r="J34" i="1" s="1"/>
  <c r="K34" i="1" s="1"/>
  <c r="L34" i="1" s="1"/>
  <c r="D50" i="1"/>
  <c r="E27" i="1"/>
  <c r="E26" i="1"/>
  <c r="E29" i="1" s="1"/>
  <c r="E47" i="1"/>
  <c r="C39" i="1"/>
  <c r="F27" i="1"/>
  <c r="G27" i="1" s="1"/>
  <c r="K54" i="1"/>
  <c r="K53" i="1"/>
  <c r="K52" i="1"/>
  <c r="K51" i="1"/>
  <c r="K49" i="1"/>
  <c r="K48" i="1"/>
  <c r="K47" i="1"/>
  <c r="J54" i="1"/>
  <c r="J53" i="1"/>
  <c r="J52" i="1"/>
  <c r="J51" i="1"/>
  <c r="J49" i="1"/>
  <c r="J48" i="1"/>
  <c r="J47" i="1"/>
  <c r="F26" i="1"/>
  <c r="G26" i="1" s="1"/>
  <c r="H26" i="1" s="1"/>
  <c r="I26" i="1" s="1"/>
  <c r="L26" i="1" s="1"/>
  <c r="L50" i="1"/>
  <c r="N59" i="1"/>
  <c r="N58" i="1"/>
  <c r="L54" i="1"/>
  <c r="I54" i="1"/>
  <c r="H54" i="1"/>
  <c r="G54" i="1"/>
  <c r="F54" i="1"/>
  <c r="E54" i="1"/>
  <c r="L53" i="1"/>
  <c r="I53" i="1"/>
  <c r="H53" i="1"/>
  <c r="G53" i="1"/>
  <c r="F53" i="1"/>
  <c r="E53" i="1"/>
  <c r="L52" i="1"/>
  <c r="I52" i="1"/>
  <c r="H52" i="1"/>
  <c r="G52" i="1"/>
  <c r="F52" i="1"/>
  <c r="E52" i="1"/>
  <c r="L51" i="1"/>
  <c r="I51" i="1"/>
  <c r="H51" i="1"/>
  <c r="G51" i="1"/>
  <c r="F51" i="1"/>
  <c r="E51" i="1"/>
  <c r="L49" i="1"/>
  <c r="I49" i="1"/>
  <c r="H49" i="1"/>
  <c r="G49" i="1"/>
  <c r="F49" i="1"/>
  <c r="E49" i="1"/>
  <c r="L48" i="1"/>
  <c r="I48" i="1"/>
  <c r="H48" i="1"/>
  <c r="G48" i="1"/>
  <c r="F48" i="1"/>
  <c r="E48" i="1"/>
  <c r="L47" i="1"/>
  <c r="I47" i="1"/>
  <c r="H47" i="1"/>
  <c r="G47" i="1"/>
  <c r="F47" i="1"/>
  <c r="N18" i="1"/>
  <c r="G29" i="1" l="1"/>
  <c r="F29" i="1"/>
  <c r="F39" i="1" s="1"/>
  <c r="F9" i="1" s="1"/>
  <c r="E60" i="1"/>
  <c r="H27" i="1"/>
  <c r="G60" i="1"/>
  <c r="F60" i="1"/>
  <c r="H60" i="1"/>
  <c r="K50" i="1"/>
  <c r="J26" i="1"/>
  <c r="J50" i="1"/>
  <c r="E50" i="1"/>
  <c r="F50" i="1"/>
  <c r="G50" i="1"/>
  <c r="K26" i="1"/>
  <c r="H50" i="1"/>
  <c r="I50" i="1"/>
  <c r="N48" i="1"/>
  <c r="N47" i="1"/>
  <c r="E39" i="1"/>
  <c r="E9" i="1" s="1"/>
  <c r="N53" i="1"/>
  <c r="N52" i="1"/>
  <c r="N49" i="1"/>
  <c r="N51" i="1"/>
  <c r="N54" i="1"/>
  <c r="N55" i="1"/>
  <c r="G39" i="1"/>
  <c r="G9" i="1" s="1"/>
  <c r="I27" i="1" l="1"/>
  <c r="H29" i="1"/>
  <c r="H39" i="1" s="1"/>
  <c r="H9" i="1" s="1"/>
  <c r="K27" i="1"/>
  <c r="K29" i="1" s="1"/>
  <c r="J27" i="1"/>
  <c r="J29" i="1" s="1"/>
  <c r="K60" i="1"/>
  <c r="J60" i="1"/>
  <c r="N50" i="1"/>
  <c r="N26" i="1"/>
  <c r="E32" i="1"/>
  <c r="E31" i="1"/>
  <c r="E37" i="1" s="1"/>
  <c r="F31" i="1"/>
  <c r="F37" i="1" s="1"/>
  <c r="G32" i="1"/>
  <c r="F32" i="1"/>
  <c r="G31" i="1"/>
  <c r="G37" i="1" s="1"/>
  <c r="H32" i="1"/>
  <c r="H31" i="1" l="1"/>
  <c r="H37" i="1" s="1"/>
  <c r="L27" i="1"/>
  <c r="I29" i="1"/>
  <c r="I39" i="1" s="1"/>
  <c r="I9" i="1" s="1"/>
  <c r="I60" i="1"/>
  <c r="J32" i="1"/>
  <c r="J39" i="1"/>
  <c r="J31" i="1"/>
  <c r="J37" i="1" s="1"/>
  <c r="K32" i="1"/>
  <c r="K31" i="1"/>
  <c r="K37" i="1" s="1"/>
  <c r="K39" i="1"/>
  <c r="K9" i="1" s="1"/>
  <c r="E56" i="1"/>
  <c r="H8" i="1"/>
  <c r="H11" i="1" s="1"/>
  <c r="H56" i="1"/>
  <c r="G8" i="1"/>
  <c r="G11" i="1" s="1"/>
  <c r="G56" i="1"/>
  <c r="F8" i="1"/>
  <c r="F11" i="1" s="1"/>
  <c r="F56" i="1"/>
  <c r="E8" i="1"/>
  <c r="I32" i="1"/>
  <c r="I31" i="1"/>
  <c r="L60" i="1" l="1"/>
  <c r="L29" i="1"/>
  <c r="L31" i="1" s="1"/>
  <c r="N27" i="1"/>
  <c r="K56" i="1"/>
  <c r="K8" i="1"/>
  <c r="K11" i="1" s="1"/>
  <c r="J56" i="1"/>
  <c r="J8" i="1"/>
  <c r="J9" i="1"/>
  <c r="I37" i="1"/>
  <c r="E62" i="1"/>
  <c r="E13" i="1" a="1"/>
  <c r="E13" i="1" s="1"/>
  <c r="E11" i="1"/>
  <c r="L32" i="1" l="1"/>
  <c r="L39" i="1"/>
  <c r="N29" i="1"/>
  <c r="J11" i="1"/>
  <c r="L37" i="1"/>
  <c r="N37" i="1" s="1"/>
  <c r="I8" i="1"/>
  <c r="I11" i="1" s="1"/>
  <c r="I56" i="1"/>
  <c r="N32" i="1"/>
  <c r="E15" i="1"/>
  <c r="N31" i="1"/>
  <c r="F62" i="1" l="1"/>
  <c r="F13" i="1" a="1"/>
  <c r="F13" i="1" s="1"/>
  <c r="F15" i="1" s="1"/>
  <c r="F20" i="1" s="1"/>
  <c r="L9" i="1"/>
  <c r="N9" i="1" s="1"/>
  <c r="N39" i="1"/>
  <c r="E20" i="1"/>
  <c r="E16" i="1"/>
  <c r="L8" i="1"/>
  <c r="L56" i="1"/>
  <c r="N60" i="1"/>
  <c r="F16" i="1" l="1"/>
  <c r="L11" i="1"/>
  <c r="N11" i="1" s="1"/>
  <c r="N8" i="1"/>
  <c r="N56" i="1"/>
  <c r="G62" i="1" l="1"/>
  <c r="G13" i="1" a="1"/>
  <c r="G13" i="1" s="1"/>
  <c r="G15" i="1" l="1"/>
  <c r="G20" i="1" s="1"/>
  <c r="G16" i="1" l="1"/>
  <c r="H62" i="1" l="1"/>
  <c r="H13" i="1" a="1"/>
  <c r="H13" i="1" s="1"/>
  <c r="H15" i="1" l="1"/>
  <c r="H20" i="1" s="1"/>
  <c r="H16" i="1" l="1"/>
  <c r="I62" i="1" l="1"/>
  <c r="I13" i="1" a="1"/>
  <c r="I13" i="1" s="1"/>
  <c r="I15" i="1" l="1"/>
  <c r="I20" i="1" s="1"/>
  <c r="I16" i="1" l="1"/>
  <c r="J62" i="1" l="1"/>
  <c r="J13" i="1" a="1"/>
  <c r="J13" i="1" s="1"/>
  <c r="J15" i="1" l="1"/>
  <c r="J20" i="1" s="1"/>
  <c r="J16" i="1" l="1"/>
  <c r="K62" i="1" l="1"/>
  <c r="K13" i="1" a="1"/>
  <c r="K13" i="1" s="1"/>
  <c r="K15" i="1" l="1"/>
  <c r="K20" i="1" s="1"/>
  <c r="K16" i="1" l="1"/>
  <c r="L62" i="1" l="1"/>
  <c r="N57" i="1"/>
  <c r="L13" i="1" a="1"/>
  <c r="L13" i="1" s="1"/>
  <c r="L15" i="1" l="1"/>
  <c r="L20" i="1" s="1"/>
  <c r="N13" i="1"/>
  <c r="L16" i="1" l="1"/>
  <c r="N15" i="1"/>
  <c r="N1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<sst xmlns="http://schemas.openxmlformats.org/spreadsheetml/2006/main" count="136" uniqueCount="100">
  <si>
    <t>Qtr 5</t>
  </si>
  <si>
    <t>Qtr 6</t>
  </si>
  <si>
    <t>Qtr 4</t>
  </si>
  <si>
    <t>Qtr 3</t>
  </si>
  <si>
    <t>Qtr 2</t>
  </si>
  <si>
    <t>Qtr 1</t>
  </si>
  <si>
    <t>Description</t>
  </si>
  <si>
    <t>Ref</t>
  </si>
  <si>
    <t>Audience Data</t>
  </si>
  <si>
    <t>Number of Hours Watched</t>
  </si>
  <si>
    <t>Number of Ad-oppertunities</t>
  </si>
  <si>
    <t>Total</t>
  </si>
  <si>
    <t>Hours Watched</t>
  </si>
  <si>
    <t>Average CPM for ad-fill</t>
  </si>
  <si>
    <t>Average Ad-fill success</t>
  </si>
  <si>
    <t>Ad-fill</t>
  </si>
  <si>
    <t>Various</t>
  </si>
  <si>
    <t>CPM</t>
  </si>
  <si>
    <t>$</t>
  </si>
  <si>
    <t>/Earnings</t>
  </si>
  <si>
    <t xml:space="preserve"> </t>
  </si>
  <si>
    <t>Sponsorship Earnings</t>
  </si>
  <si>
    <t>Total Spend</t>
  </si>
  <si>
    <t>Investments</t>
  </si>
  <si>
    <t>Linear Channel Hours Watched</t>
  </si>
  <si>
    <t>AVOD Viewing Hours Watched</t>
  </si>
  <si>
    <t>2.01</t>
  </si>
  <si>
    <t>2.02</t>
  </si>
  <si>
    <t>2.04</t>
  </si>
  <si>
    <t>2.06</t>
  </si>
  <si>
    <t>2.07</t>
  </si>
  <si>
    <t>2.09</t>
  </si>
  <si>
    <t>2.10</t>
  </si>
  <si>
    <t>2.12</t>
  </si>
  <si>
    <t>2.14</t>
  </si>
  <si>
    <t>/Rev/Hour</t>
  </si>
  <si>
    <t>Total Revenue Earnings</t>
  </si>
  <si>
    <t>3.01</t>
  </si>
  <si>
    <t>3.02</t>
  </si>
  <si>
    <t>3.03</t>
  </si>
  <si>
    <t>3.04</t>
  </si>
  <si>
    <t>3.05</t>
  </si>
  <si>
    <t>3.06</t>
  </si>
  <si>
    <t>3.07</t>
  </si>
  <si>
    <t>3.08</t>
  </si>
  <si>
    <t>3.09</t>
  </si>
  <si>
    <t>3.10</t>
  </si>
  <si>
    <t>3.11</t>
  </si>
  <si>
    <t>3.12</t>
  </si>
  <si>
    <t>3.13</t>
  </si>
  <si>
    <t>3.14</t>
  </si>
  <si>
    <t>Profitability</t>
  </si>
  <si>
    <t>Ad-Revenue Earnings</t>
  </si>
  <si>
    <t>1.0</t>
  </si>
  <si>
    <t>1.1</t>
  </si>
  <si>
    <t>1.3</t>
  </si>
  <si>
    <t>1.5</t>
  </si>
  <si>
    <t>1.7</t>
  </si>
  <si>
    <t>1.9</t>
  </si>
  <si>
    <t>1.11</t>
  </si>
  <si>
    <t>Value</t>
  </si>
  <si>
    <t>Units</t>
  </si>
  <si>
    <t>Broadcast CDN - View TV Cloud</t>
  </si>
  <si>
    <t>/gb</t>
  </si>
  <si>
    <t>/hrs/watched</t>
  </si>
  <si>
    <t>xxx</t>
  </si>
  <si>
    <t>Digital Marketing &amp; Social Media</t>
  </si>
  <si>
    <t>cost</t>
  </si>
  <si>
    <t>/qtr</t>
  </si>
  <si>
    <t>FAST Channel CEO Role</t>
  </si>
  <si>
    <t>FAST Channel Head of Television</t>
  </si>
  <si>
    <t>FAST Channel Head of Revenue</t>
  </si>
  <si>
    <t>FAST Channel Head of Content</t>
  </si>
  <si>
    <t>Salary</t>
  </si>
  <si>
    <t>avg/cost/hr</t>
  </si>
  <si>
    <t>%age share</t>
  </si>
  <si>
    <t>Office Space and Communications</t>
  </si>
  <si>
    <t>Salary/Managed</t>
  </si>
  <si>
    <t>Monthly Fixed</t>
  </si>
  <si>
    <t>%age Profitability</t>
  </si>
  <si>
    <t>FAST Channel Head of Marketing</t>
  </si>
  <si>
    <t>FAST Channel Media Management 1</t>
  </si>
  <si>
    <t>FAST Channel Media Management 2</t>
  </si>
  <si>
    <t>Capital Expenditure &amp; Expenses</t>
  </si>
  <si>
    <t>/hr avg</t>
  </si>
  <si>
    <t>Gb/hr avg</t>
  </si>
  <si>
    <t>Number of Gb for a 1080 HD feed</t>
  </si>
  <si>
    <t>Qtr 7</t>
  </si>
  <si>
    <t>Qtr 8</t>
  </si>
  <si>
    <t xml:space="preserve">3rd Party Distribution Platform </t>
  </si>
  <si>
    <t>FAST Channel Sales Team (2 People)</t>
  </si>
  <si>
    <t>Total Revenue</t>
  </si>
  <si>
    <t>FAST Channel Content Budgets (15 Hours/wk)  Cost + 10% Rev</t>
  </si>
  <si>
    <t>Cash Flow (Cash in the bank)</t>
  </si>
  <si>
    <t>View TV Studios Linear Streaming TV Channel - Business Model 2025 - 2027</t>
  </si>
  <si>
    <t>3.0 Streaming TV Content Channel Costs</t>
  </si>
  <si>
    <t>2.0 Streaming TV Content Channel Earnings</t>
  </si>
  <si>
    <t>Channel Avg Advertising Earnings</t>
  </si>
  <si>
    <t>Channel Sponsorship Revenues</t>
  </si>
  <si>
    <t>1.0 Streaming TV Channel Business Summary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</si>
</sst>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$-409]#,##0_ ;[Red]\-[$$-409]#,##0\ "/>
    <numFmt numFmtId="165" formatCode="[$$-409]#,##0.00_ ;[Red]\-[$$-409]#,##0.00\ "/>
    <numFmt numFmtId="166" formatCode="#,##0_ ;[Red]\-#,##0\ "/>
    <numFmt numFmtId="167" formatCode="0.0%"/>
  </numFmts>
  <fonts count="9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28"/>
      <color theme="1"/>
      <name val="Calibri"/>
      <family val="2"/>
    </font>
    <font>
      <b/>
      <u/>
      <sz val="18"/>
      <color theme="1"/>
      <name val="Calibri"/>
      <family val="2"/>
    </font>
    <font>
      <b/>
      <sz val="18"/>
      <color theme="1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dotted">
        <color auto="1"/>
      </left>
      <right/>
      <top/>
      <bottom/>
      <diagonal/>
    </border>
    <border>
      <left style="thick">
        <color auto="1"/>
      </left>
      <right/>
      <top/>
      <bottom/>
      <diagonal/>
    </border>
    <border>
      <left style="dotted">
        <color auto="1"/>
      </left>
      <right style="dotted">
        <color auto="1"/>
      </right>
      <top/>
      <bottom/>
      <diagonal/>
    </border>
    <border>
      <left/>
      <right/>
      <top/>
      <bottom style="medium">
        <color indexed="64"/>
      </bottom>
      <diagonal/>
    </border>
    <border>
      <left style="dotted">
        <color auto="1"/>
      </left>
      <right style="dotted">
        <color auto="1"/>
      </right>
      <top/>
      <bottom style="medium">
        <color indexed="64"/>
      </bottom>
      <diagonal/>
    </border>
    <border>
      <left style="dotted">
        <color auto="1"/>
      </left>
      <right/>
      <top/>
      <bottom style="medium">
        <color indexed="64"/>
      </bottom>
      <diagonal/>
    </border>
    <border>
      <left style="thick">
        <color auto="1"/>
      </left>
      <right/>
      <top/>
      <bottom style="medium">
        <color indexed="64"/>
      </bottom>
      <diagonal/>
    </border>
    <border>
      <left style="thick">
        <color auto="1"/>
      </left>
      <right style="dotted">
        <color auto="1"/>
      </right>
      <top/>
      <bottom style="medium">
        <color indexed="64"/>
      </bottom>
      <diagonal/>
    </border>
    <border>
      <left style="thick">
        <color auto="1"/>
      </left>
      <right style="dotted">
        <color auto="1"/>
      </right>
      <top/>
      <bottom/>
      <diagonal/>
    </border>
    <border>
      <left/>
      <right style="thick">
        <color auto="1"/>
      </right>
      <top/>
      <bottom/>
      <diagonal/>
    </border>
  </borders>
  <cellStyleXfs count="1">
    <xf numFmtId="0" fontId="0" fillId="0" borderId="0"/>
  </cellStyleXfs>
  <cellXfs count="91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Continuous" vertical="center"/>
    </xf>
    <xf numFmtId="0" fontId="3" fillId="0" borderId="1" xfId="0" applyFont="1" applyBorder="1" applyAlignment="1">
      <alignment vertical="center"/>
    </xf>
    <xf numFmtId="0" fontId="3" fillId="0" borderId="0" xfId="0" quotePrefix="1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164" fontId="2" fillId="0" borderId="3" xfId="0" applyNumberFormat="1" applyFont="1" applyBorder="1" applyAlignment="1">
      <alignment vertical="center"/>
    </xf>
    <xf numFmtId="164" fontId="2" fillId="0" borderId="1" xfId="0" applyNumberFormat="1" applyFont="1" applyBorder="1" applyAlignment="1">
      <alignment vertical="center"/>
    </xf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9" xfId="0" applyFont="1" applyBorder="1" applyAlignment="1">
      <alignment vertical="center"/>
    </xf>
    <xf numFmtId="164" fontId="2" fillId="0" borderId="9" xfId="0" applyNumberFormat="1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164" fontId="7" fillId="0" borderId="9" xfId="0" applyNumberFormat="1" applyFont="1" applyBorder="1" applyAlignment="1">
      <alignment vertical="center"/>
    </xf>
    <xf numFmtId="164" fontId="7" fillId="0" borderId="3" xfId="0" applyNumberFormat="1" applyFont="1" applyBorder="1" applyAlignment="1">
      <alignment vertical="center"/>
    </xf>
    <xf numFmtId="164" fontId="7" fillId="0" borderId="1" xfId="0" applyNumberFormat="1" applyFont="1" applyBorder="1" applyAlignment="1">
      <alignment vertical="center"/>
    </xf>
    <xf numFmtId="164" fontId="8" fillId="2" borderId="9" xfId="0" applyNumberFormat="1" applyFont="1" applyFill="1" applyBorder="1" applyAlignment="1">
      <alignment vertical="center"/>
    </xf>
    <xf numFmtId="164" fontId="8" fillId="2" borderId="3" xfId="0" applyNumberFormat="1" applyFont="1" applyFill="1" applyBorder="1" applyAlignment="1">
      <alignment vertical="center"/>
    </xf>
    <xf numFmtId="164" fontId="8" fillId="2" borderId="1" xfId="0" applyNumberFormat="1" applyFont="1" applyFill="1" applyBorder="1" applyAlignment="1">
      <alignment vertical="center"/>
    </xf>
    <xf numFmtId="164" fontId="8" fillId="3" borderId="9" xfId="0" applyNumberFormat="1" applyFont="1" applyFill="1" applyBorder="1" applyAlignment="1">
      <alignment vertical="center"/>
    </xf>
    <xf numFmtId="164" fontId="8" fillId="3" borderId="3" xfId="0" applyNumberFormat="1" applyFont="1" applyFill="1" applyBorder="1" applyAlignment="1">
      <alignment vertical="center"/>
    </xf>
    <xf numFmtId="164" fontId="8" fillId="3" borderId="1" xfId="0" applyNumberFormat="1" applyFont="1" applyFill="1" applyBorder="1" applyAlignment="1">
      <alignment vertical="center"/>
    </xf>
    <xf numFmtId="167" fontId="8" fillId="3" borderId="9" xfId="0" applyNumberFormat="1" applyFont="1" applyFill="1" applyBorder="1" applyAlignment="1">
      <alignment vertical="center"/>
    </xf>
    <xf numFmtId="167" fontId="8" fillId="3" borderId="3" xfId="0" applyNumberFormat="1" applyFont="1" applyFill="1" applyBorder="1" applyAlignment="1">
      <alignment vertical="center"/>
    </xf>
    <xf numFmtId="167" fontId="8" fillId="3" borderId="1" xfId="0" applyNumberFormat="1" applyFont="1" applyFill="1" applyBorder="1" applyAlignment="1">
      <alignment vertical="center"/>
    </xf>
    <xf numFmtId="166" fontId="7" fillId="0" borderId="9" xfId="0" applyNumberFormat="1" applyFont="1" applyBorder="1" applyAlignment="1">
      <alignment vertical="center"/>
    </xf>
    <xf numFmtId="166" fontId="7" fillId="0" borderId="3" xfId="0" applyNumberFormat="1" applyFont="1" applyBorder="1" applyAlignment="1">
      <alignment vertical="center"/>
    </xf>
    <xf numFmtId="166" fontId="7" fillId="0" borderId="1" xfId="0" applyNumberFormat="1" applyFont="1" applyBorder="1" applyAlignment="1">
      <alignment vertical="center"/>
    </xf>
    <xf numFmtId="166" fontId="8" fillId="3" borderId="9" xfId="0" applyNumberFormat="1" applyFont="1" applyFill="1" applyBorder="1" applyAlignment="1">
      <alignment vertical="center"/>
    </xf>
    <xf numFmtId="166" fontId="8" fillId="3" borderId="3" xfId="0" applyNumberFormat="1" applyFont="1" applyFill="1" applyBorder="1" applyAlignment="1">
      <alignment vertical="center"/>
    </xf>
    <xf numFmtId="166" fontId="8" fillId="3" borderId="1" xfId="0" applyNumberFormat="1" applyFont="1" applyFill="1" applyBorder="1" applyAlignment="1">
      <alignment vertical="center"/>
    </xf>
    <xf numFmtId="0" fontId="7" fillId="0" borderId="9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165" fontId="8" fillId="2" borderId="9" xfId="0" applyNumberFormat="1" applyFont="1" applyFill="1" applyBorder="1" applyAlignment="1">
      <alignment vertical="center"/>
    </xf>
    <xf numFmtId="165" fontId="8" fillId="2" borderId="3" xfId="0" applyNumberFormat="1" applyFont="1" applyFill="1" applyBorder="1" applyAlignment="1">
      <alignment vertical="center"/>
    </xf>
    <xf numFmtId="165" fontId="8" fillId="2" borderId="1" xfId="0" applyNumberFormat="1" applyFont="1" applyFill="1" applyBorder="1" applyAlignment="1">
      <alignment vertical="center"/>
    </xf>
    <xf numFmtId="9" fontId="7" fillId="0" borderId="9" xfId="0" applyNumberFormat="1" applyFont="1" applyBorder="1" applyAlignment="1">
      <alignment vertical="center"/>
    </xf>
    <xf numFmtId="9" fontId="7" fillId="0" borderId="3" xfId="0" applyNumberFormat="1" applyFont="1" applyBorder="1" applyAlignment="1">
      <alignment vertical="center"/>
    </xf>
    <xf numFmtId="9" fontId="7" fillId="0" borderId="1" xfId="0" applyNumberFormat="1" applyFont="1" applyBorder="1" applyAlignment="1">
      <alignment vertical="center"/>
    </xf>
    <xf numFmtId="164" fontId="7" fillId="0" borderId="2" xfId="0" applyNumberFormat="1" applyFont="1" applyBorder="1" applyAlignment="1">
      <alignment vertical="center"/>
    </xf>
    <xf numFmtId="164" fontId="8" fillId="3" borderId="2" xfId="0" applyNumberFormat="1" applyFont="1" applyFill="1" applyBorder="1" applyAlignment="1">
      <alignment vertical="center"/>
    </xf>
    <xf numFmtId="164" fontId="8" fillId="2" borderId="2" xfId="0" applyNumberFormat="1" applyFont="1" applyFill="1" applyBorder="1" applyAlignment="1">
      <alignment vertical="center"/>
    </xf>
    <xf numFmtId="3" fontId="7" fillId="0" borderId="2" xfId="0" applyNumberFormat="1" applyFont="1" applyBorder="1" applyAlignment="1">
      <alignment vertical="center"/>
    </xf>
    <xf numFmtId="3" fontId="8" fillId="3" borderId="2" xfId="0" applyNumberFormat="1" applyFont="1" applyFill="1" applyBorder="1" applyAlignment="1">
      <alignment vertical="center"/>
    </xf>
    <xf numFmtId="0" fontId="7" fillId="0" borderId="2" xfId="0" applyFont="1" applyBorder="1" applyAlignment="1">
      <alignment vertical="center"/>
    </xf>
    <xf numFmtId="165" fontId="8" fillId="2" borderId="2" xfId="0" applyNumberFormat="1" applyFont="1" applyFill="1" applyBorder="1" applyAlignment="1">
      <alignment vertical="center"/>
    </xf>
    <xf numFmtId="167" fontId="8" fillId="3" borderId="2" xfId="0" applyNumberFormat="1" applyFont="1" applyFill="1" applyBorder="1" applyAlignment="1">
      <alignment vertical="center"/>
    </xf>
    <xf numFmtId="0" fontId="7" fillId="5" borderId="2" xfId="0" applyFont="1" applyFill="1" applyBorder="1" applyAlignment="1">
      <alignment vertical="center"/>
    </xf>
    <xf numFmtId="0" fontId="8" fillId="4" borderId="4" xfId="0" quotePrefix="1" applyFont="1" applyFill="1" applyBorder="1" applyAlignment="1">
      <alignment horizontal="center" vertical="center"/>
    </xf>
    <xf numFmtId="0" fontId="8" fillId="4" borderId="5" xfId="0" applyFont="1" applyFill="1" applyBorder="1" applyAlignment="1">
      <alignment vertical="center"/>
    </xf>
    <xf numFmtId="0" fontId="8" fillId="4" borderId="6" xfId="0" applyFont="1" applyFill="1" applyBorder="1" applyAlignment="1">
      <alignment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vertical="center"/>
    </xf>
    <xf numFmtId="0" fontId="8" fillId="4" borderId="7" xfId="0" applyFont="1" applyFill="1" applyBorder="1" applyAlignment="1">
      <alignment horizontal="center" vertical="center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vertical="center"/>
    </xf>
    <xf numFmtId="164" fontId="7" fillId="0" borderId="0" xfId="0" applyNumberFormat="1" applyFont="1" applyAlignment="1">
      <alignment vertical="center"/>
    </xf>
    <xf numFmtId="0" fontId="8" fillId="3" borderId="0" xfId="0" quotePrefix="1" applyFont="1" applyFill="1" applyAlignment="1">
      <alignment horizontal="center" vertical="center"/>
    </xf>
    <xf numFmtId="0" fontId="8" fillId="3" borderId="3" xfId="0" applyFont="1" applyFill="1" applyBorder="1" applyAlignment="1">
      <alignment vertical="center"/>
    </xf>
    <xf numFmtId="164" fontId="8" fillId="3" borderId="0" xfId="0" applyNumberFormat="1" applyFont="1" applyFill="1" applyAlignment="1">
      <alignment vertical="center"/>
    </xf>
    <xf numFmtId="0" fontId="8" fillId="3" borderId="3" xfId="0" applyFont="1" applyFill="1" applyBorder="1" applyAlignment="1">
      <alignment horizontal="right" vertical="center"/>
    </xf>
    <xf numFmtId="0" fontId="8" fillId="3" borderId="1" xfId="0" quotePrefix="1" applyFont="1" applyFill="1" applyBorder="1" applyAlignment="1">
      <alignment vertical="center"/>
    </xf>
    <xf numFmtId="0" fontId="8" fillId="2" borderId="0" xfId="0" quotePrefix="1" applyFont="1" applyFill="1" applyAlignment="1">
      <alignment horizontal="center" vertical="center"/>
    </xf>
    <xf numFmtId="0" fontId="8" fillId="2" borderId="3" xfId="0" applyFont="1" applyFill="1" applyBorder="1" applyAlignment="1">
      <alignment vertical="center"/>
    </xf>
    <xf numFmtId="0" fontId="8" fillId="2" borderId="3" xfId="0" applyFont="1" applyFill="1" applyBorder="1" applyAlignment="1">
      <alignment horizontal="right" vertical="center"/>
    </xf>
    <xf numFmtId="0" fontId="8" fillId="2" borderId="1" xfId="0" quotePrefix="1" applyFont="1" applyFill="1" applyBorder="1" applyAlignment="1">
      <alignment vertical="center"/>
    </xf>
    <xf numFmtId="164" fontId="8" fillId="2" borderId="0" xfId="0" applyNumberFormat="1" applyFont="1" applyFill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10" xfId="0" applyFont="1" applyBorder="1" applyAlignment="1">
      <alignment vertical="center"/>
    </xf>
    <xf numFmtId="0" fontId="8" fillId="0" borderId="9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0" borderId="1" xfId="0" quotePrefix="1" applyFont="1" applyBorder="1" applyAlignment="1">
      <alignment vertical="center"/>
    </xf>
    <xf numFmtId="0" fontId="8" fillId="3" borderId="1" xfId="0" applyFont="1" applyFill="1" applyBorder="1" applyAlignment="1">
      <alignment vertical="center"/>
    </xf>
    <xf numFmtId="0" fontId="8" fillId="3" borderId="0" xfId="0" applyFont="1" applyFill="1" applyAlignment="1">
      <alignment vertical="center"/>
    </xf>
    <xf numFmtId="0" fontId="8" fillId="2" borderId="3" xfId="0" quotePrefix="1" applyFont="1" applyFill="1" applyBorder="1" applyAlignment="1">
      <alignment horizontal="right" vertical="center"/>
    </xf>
    <xf numFmtId="0" fontId="8" fillId="2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0" fontId="8" fillId="4" borderId="4" xfId="0" applyFont="1" applyFill="1" applyBorder="1" applyAlignment="1">
      <alignment horizontal="center" vertical="center"/>
    </xf>
    <xf numFmtId="0" fontId="7" fillId="2" borderId="0" xfId="0" quotePrefix="1" applyFont="1" applyFill="1" applyAlignment="1">
      <alignment horizontal="center" vertical="center"/>
    </xf>
    <xf numFmtId="0" fontId="8" fillId="2" borderId="1" xfId="0" applyFont="1" applyFill="1" applyBorder="1" applyAlignment="1">
      <alignment vertical="center"/>
    </xf>
    <xf numFmtId="0" fontId="7" fillId="2" borderId="0" xfId="0" applyFont="1" applyFill="1" applyAlignment="1">
      <alignment vertical="center"/>
    </xf>
    <xf numFmtId="0" fontId="7" fillId="3" borderId="0" xfId="0" quotePrefix="1" applyFont="1" applyFill="1" applyAlignment="1">
      <alignment horizontal="center" vertical="center"/>
    </xf>
    <xf numFmtId="0" fontId="7" fillId="3" borderId="0" xfId="0" applyFont="1" applyFill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879230</xdr:colOff>
      <xdr:row>0</xdr:row>
      <xdr:rowOff>48846</xdr:rowOff>
    </xdr:from>
    <xdr:to>
      <xdr:col>7</xdr:col>
      <xdr:colOff>812493</xdr:colOff>
      <xdr:row>1</xdr:row>
      <xdr:rowOff>1367691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0FE7D7E0-CCFD-5B78-9347-49D8FC5531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099538" y="48846"/>
          <a:ext cx="4905801" cy="15142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B71E9B-CC1D-43E4-9157-7D1803F9692A}">
  <sheetPr>
    <pageSetUpPr fitToPage="1"/>
  </sheetPr>
  <dimension ref="A2:N62"/>
  <sheetViews>
    <sheetView tabSelected="1" topLeftCell="A8" zoomScale="130" zoomScaleNormal="130" workbookViewId="0">
      <selection activeCell="C61" sqref="C61"/>
    </sheetView>
  </sheetViews>
  <sheetFormatPr baseColWidth="10" defaultColWidth="9.1640625" defaultRowHeight="15" x14ac:dyDescent="0.2"/>
  <cols>
    <col min="1" max="1" width="9.5" style="1" customWidth="1"/>
    <col min="2" max="2" width="45.83203125" style="2" customWidth="1"/>
    <col min="3" max="3" width="13" style="2" customWidth="1"/>
    <col min="4" max="4" width="14.1640625" style="2" customWidth="1"/>
    <col min="5" max="12" width="12.6640625" style="2" customWidth="1"/>
    <col min="13" max="13" width="2.6640625" style="2" customWidth="1"/>
    <col min="14" max="14" width="15.33203125" style="2" customWidth="1"/>
    <col min="15" max="16384" width="9.1640625" style="2"/>
  </cols>
  <sheetData>
    <row r="2" spans="1:14" ht="109" customHeight="1" x14ac:dyDescent="0.2"/>
    <row r="3" spans="1:14" ht="37" x14ac:dyDescent="0.2">
      <c r="A3" s="3" t="s">
        <v>94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43.25" customHeight="1" x14ac:dyDescent="0.2">
      <c r="A4" s="12" t="s">
        <v>99</v>
      </c>
    </row>
    <row r="5" spans="1:14" ht="7" customHeight="1" x14ac:dyDescent="0.2">
      <c r="E5" s="7"/>
      <c r="N5" s="7"/>
    </row>
    <row r="6" spans="1:14" ht="30" customHeight="1" thickBot="1" x14ac:dyDescent="0.25">
      <c r="A6" s="85" t="s">
        <v>7</v>
      </c>
      <c r="B6" s="54" t="s">
        <v>6</v>
      </c>
      <c r="C6" s="54" t="s">
        <v>60</v>
      </c>
      <c r="D6" s="55" t="s">
        <v>61</v>
      </c>
      <c r="E6" s="56" t="s">
        <v>5</v>
      </c>
      <c r="F6" s="57" t="s">
        <v>4</v>
      </c>
      <c r="G6" s="57" t="s">
        <v>3</v>
      </c>
      <c r="H6" s="57" t="s">
        <v>2</v>
      </c>
      <c r="I6" s="57" t="s">
        <v>0</v>
      </c>
      <c r="J6" s="58" t="s">
        <v>1</v>
      </c>
      <c r="K6" s="58" t="s">
        <v>87</v>
      </c>
      <c r="L6" s="58" t="s">
        <v>88</v>
      </c>
      <c r="M6" s="59"/>
      <c r="N6" s="60" t="s">
        <v>11</v>
      </c>
    </row>
    <row r="7" spans="1:14" ht="10" customHeight="1" x14ac:dyDescent="0.2">
      <c r="A7" s="74"/>
      <c r="B7" s="36"/>
      <c r="C7" s="36"/>
      <c r="D7" s="37"/>
      <c r="E7" s="35"/>
      <c r="F7" s="36"/>
      <c r="G7" s="36"/>
      <c r="H7" s="36"/>
      <c r="I7" s="36"/>
      <c r="J7" s="37"/>
      <c r="K7" s="37"/>
      <c r="L7" s="37"/>
      <c r="M7" s="62"/>
      <c r="N7" s="49"/>
    </row>
    <row r="8" spans="1:14" ht="22" customHeight="1" x14ac:dyDescent="0.2">
      <c r="A8" s="61" t="s">
        <v>53</v>
      </c>
      <c r="B8" s="36" t="s">
        <v>52</v>
      </c>
      <c r="C8" s="36"/>
      <c r="D8" s="37"/>
      <c r="E8" s="17">
        <f>+E37</f>
        <v>873849.6</v>
      </c>
      <c r="F8" s="18">
        <f t="shared" ref="F8:L8" si="0">+F37</f>
        <v>1146927.6000000001</v>
      </c>
      <c r="G8" s="18">
        <f t="shared" si="0"/>
        <v>1505342.4750000003</v>
      </c>
      <c r="H8" s="18">
        <f t="shared" si="0"/>
        <v>1975761.9984375003</v>
      </c>
      <c r="I8" s="18">
        <f t="shared" si="0"/>
        <v>2593187.6229492193</v>
      </c>
      <c r="J8" s="19">
        <f>+J37</f>
        <v>2722847.0040966803</v>
      </c>
      <c r="K8" s="19">
        <f>+K37</f>
        <v>2858989.3543015146</v>
      </c>
      <c r="L8" s="19">
        <f t="shared" si="0"/>
        <v>3752423.5275207376</v>
      </c>
      <c r="M8" s="62"/>
      <c r="N8" s="44">
        <f>SUM(E8:L8)</f>
        <v>17429329.182305653</v>
      </c>
    </row>
    <row r="9" spans="1:14" ht="22" customHeight="1" x14ac:dyDescent="0.2">
      <c r="A9" s="61" t="s">
        <v>54</v>
      </c>
      <c r="B9" s="36" t="s">
        <v>21</v>
      </c>
      <c r="C9" s="36"/>
      <c r="D9" s="37"/>
      <c r="E9" s="17">
        <f>+E39</f>
        <v>249600</v>
      </c>
      <c r="F9" s="18">
        <f t="shared" ref="F9:L9" si="1">+F39</f>
        <v>312000</v>
      </c>
      <c r="G9" s="18">
        <f t="shared" si="1"/>
        <v>390000</v>
      </c>
      <c r="H9" s="18">
        <f t="shared" si="1"/>
        <v>487500</v>
      </c>
      <c r="I9" s="18">
        <f t="shared" si="1"/>
        <v>609375</v>
      </c>
      <c r="J9" s="19">
        <f>+J39</f>
        <v>609375</v>
      </c>
      <c r="K9" s="19">
        <f>+K39</f>
        <v>609375</v>
      </c>
      <c r="L9" s="19">
        <f t="shared" si="1"/>
        <v>761718.75</v>
      </c>
      <c r="M9" s="62"/>
      <c r="N9" s="44">
        <f>SUM(E9:L9)</f>
        <v>4028943.75</v>
      </c>
    </row>
    <row r="10" spans="1:14" ht="10.75" customHeight="1" x14ac:dyDescent="0.2">
      <c r="A10" s="61"/>
      <c r="B10" s="36"/>
      <c r="C10" s="36"/>
      <c r="D10" s="37"/>
      <c r="E10" s="17"/>
      <c r="F10" s="18"/>
      <c r="G10" s="18"/>
      <c r="H10" s="18"/>
      <c r="I10" s="18"/>
      <c r="J10" s="19"/>
      <c r="K10" s="19"/>
      <c r="L10" s="19"/>
      <c r="M10" s="62"/>
      <c r="N10" s="49"/>
    </row>
    <row r="11" spans="1:14" ht="22" customHeight="1" x14ac:dyDescent="0.2">
      <c r="A11" s="86" t="s">
        <v>55</v>
      </c>
      <c r="B11" s="70" t="s">
        <v>36</v>
      </c>
      <c r="C11" s="70"/>
      <c r="D11" s="87"/>
      <c r="E11" s="20">
        <f>SUM(E8:E9)</f>
        <v>1123449.6000000001</v>
      </c>
      <c r="F11" s="21">
        <f t="shared" ref="F11:L11" si="2">SUM(F8:F9)</f>
        <v>1458927.6</v>
      </c>
      <c r="G11" s="21">
        <f t="shared" si="2"/>
        <v>1895342.4750000003</v>
      </c>
      <c r="H11" s="21">
        <f t="shared" si="2"/>
        <v>2463261.9984375006</v>
      </c>
      <c r="I11" s="21">
        <f t="shared" si="2"/>
        <v>3202562.6229492193</v>
      </c>
      <c r="J11" s="22">
        <f>SUM(J8:J9)</f>
        <v>3332222.0040966803</v>
      </c>
      <c r="K11" s="22">
        <f>SUM(K8:K9)</f>
        <v>3468364.3543015146</v>
      </c>
      <c r="L11" s="22">
        <f t="shared" si="2"/>
        <v>4514142.2775207376</v>
      </c>
      <c r="M11" s="88"/>
      <c r="N11" s="46">
        <f>SUM(E11:L11)</f>
        <v>21458272.932305656</v>
      </c>
    </row>
    <row r="12" spans="1:14" ht="9.5" customHeight="1" x14ac:dyDescent="0.2">
      <c r="A12" s="61"/>
      <c r="B12" s="36" t="s">
        <v>20</v>
      </c>
      <c r="C12" s="36"/>
      <c r="D12" s="37"/>
      <c r="E12" s="17"/>
      <c r="F12" s="18"/>
      <c r="G12" s="18"/>
      <c r="H12" s="18"/>
      <c r="I12" s="18"/>
      <c r="J12" s="19"/>
      <c r="K12" s="19"/>
      <c r="L12" s="19"/>
      <c r="M12" s="62"/>
      <c r="N12" s="49"/>
    </row>
    <row r="13" spans="1:14" ht="22" customHeight="1" x14ac:dyDescent="0.2">
      <c r="A13" s="61" t="s">
        <v>56</v>
      </c>
      <c r="B13" s="36" t="s">
        <v>22</v>
      </c>
      <c r="C13" s="36"/>
      <c r="D13" s="37"/>
      <c r="E13" s="17" cm="1">
        <f t="array" ref="E13">SUM(+E47:E60)*-1</f>
        <v>-1546469.92</v>
      </c>
      <c r="F13" s="18" cm="1">
        <f t="array" ref="F13">SUM(+F47:F60)*-1</f>
        <v>-1252149.4720000001</v>
      </c>
      <c r="G13" s="18" cm="1">
        <f t="array" ref="G13">SUM(+G47:G60)*-1</f>
        <v>-1396308.7990000001</v>
      </c>
      <c r="H13" s="18" cm="1">
        <f t="array" ref="H13">SUM(+H47:H60)*-1</f>
        <v>-1584128.5406875003</v>
      </c>
      <c r="I13" s="18" cm="1">
        <f t="array" ref="I13">SUM(+I47:I60)*-1</f>
        <v>-1828905.2329023439</v>
      </c>
      <c r="J13" s="19" cm="1">
        <f t="array" ref="J13">SUM(+J47:J60)*-1</f>
        <v>-1992818.4240419925</v>
      </c>
      <c r="K13" s="19" cm="1">
        <f t="array" ref="K13">SUM(+K47:K60)*-1</f>
        <v>-2099657.2722796388</v>
      </c>
      <c r="L13" s="19" cm="1">
        <f t="array" ref="L13">SUM(+L47:L60)*-1</f>
        <v>-2380368.5977799972</v>
      </c>
      <c r="M13" s="62"/>
      <c r="N13" s="44">
        <f>SUM(E13:L13)</f>
        <v>-14080806.258691471</v>
      </c>
    </row>
    <row r="14" spans="1:14" ht="10" customHeight="1" x14ac:dyDescent="0.2">
      <c r="A14" s="61"/>
      <c r="B14" s="36"/>
      <c r="C14" s="36"/>
      <c r="D14" s="37"/>
      <c r="E14" s="17"/>
      <c r="F14" s="18"/>
      <c r="G14" s="18"/>
      <c r="H14" s="18"/>
      <c r="I14" s="18"/>
      <c r="J14" s="19"/>
      <c r="K14" s="19"/>
      <c r="L14" s="19"/>
      <c r="M14" s="62"/>
      <c r="N14" s="49"/>
    </row>
    <row r="15" spans="1:14" ht="22" customHeight="1" x14ac:dyDescent="0.2">
      <c r="A15" s="89" t="s">
        <v>57</v>
      </c>
      <c r="B15" s="65" t="s">
        <v>51</v>
      </c>
      <c r="C15" s="65"/>
      <c r="D15" s="80"/>
      <c r="E15" s="23">
        <f>+E11+E13</f>
        <v>-423020.31999999983</v>
      </c>
      <c r="F15" s="24">
        <f t="shared" ref="F15:L15" si="3">+F11+F13</f>
        <v>206778.12800000003</v>
      </c>
      <c r="G15" s="24">
        <f t="shared" si="3"/>
        <v>499033.67600000021</v>
      </c>
      <c r="H15" s="24">
        <f t="shared" si="3"/>
        <v>879133.45775000029</v>
      </c>
      <c r="I15" s="24">
        <f t="shared" si="3"/>
        <v>1373657.3900468755</v>
      </c>
      <c r="J15" s="25">
        <f>+J11+J13</f>
        <v>1339403.5800546878</v>
      </c>
      <c r="K15" s="25">
        <f>+K11+K13</f>
        <v>1368707.0820218758</v>
      </c>
      <c r="L15" s="25">
        <f t="shared" si="3"/>
        <v>2133773.6797407405</v>
      </c>
      <c r="M15" s="90"/>
      <c r="N15" s="45">
        <f>SUM(E15:L15)</f>
        <v>7377466.6736141797</v>
      </c>
    </row>
    <row r="16" spans="1:14" ht="14" customHeight="1" x14ac:dyDescent="0.2">
      <c r="A16" s="89"/>
      <c r="B16" s="65" t="s">
        <v>79</v>
      </c>
      <c r="C16" s="65"/>
      <c r="D16" s="80"/>
      <c r="E16" s="26">
        <f t="shared" ref="E16:L16" si="4">+E15/E11</f>
        <v>-0.37653698038612482</v>
      </c>
      <c r="F16" s="27">
        <f t="shared" si="4"/>
        <v>0.14173296056637766</v>
      </c>
      <c r="G16" s="27">
        <f t="shared" si="4"/>
        <v>0.26329472513931823</v>
      </c>
      <c r="H16" s="27">
        <f t="shared" si="4"/>
        <v>0.35689807186878753</v>
      </c>
      <c r="I16" s="27">
        <f t="shared" si="4"/>
        <v>0.42892444325784429</v>
      </c>
      <c r="J16" s="28">
        <f>+J15/J11</f>
        <v>0.40195508534785684</v>
      </c>
      <c r="K16" s="28">
        <f>+K15/K11</f>
        <v>0.39462609524411296</v>
      </c>
      <c r="L16" s="28">
        <f t="shared" si="4"/>
        <v>0.47268640387485839</v>
      </c>
      <c r="M16" s="90"/>
      <c r="N16" s="51">
        <f>+N15/N11</f>
        <v>0.34380523991319573</v>
      </c>
    </row>
    <row r="17" spans="1:14" ht="10" customHeight="1" x14ac:dyDescent="0.2">
      <c r="A17" s="61"/>
      <c r="B17" s="36"/>
      <c r="C17" s="36"/>
      <c r="D17" s="37"/>
      <c r="E17" s="17"/>
      <c r="F17" s="18"/>
      <c r="G17" s="18"/>
      <c r="H17" s="18"/>
      <c r="I17" s="18"/>
      <c r="J17" s="19"/>
      <c r="K17" s="19"/>
      <c r="L17" s="19"/>
      <c r="M17" s="62"/>
      <c r="N17" s="49"/>
    </row>
    <row r="18" spans="1:14" ht="22" customHeight="1" x14ac:dyDescent="0.2">
      <c r="A18" s="61" t="s">
        <v>58</v>
      </c>
      <c r="B18" s="36" t="s">
        <v>23</v>
      </c>
      <c r="C18" s="36"/>
      <c r="D18" s="37"/>
      <c r="E18" s="17">
        <v>1500000</v>
      </c>
      <c r="F18" s="18"/>
      <c r="G18" s="18"/>
      <c r="H18" s="18"/>
      <c r="I18" s="18"/>
      <c r="J18" s="18">
        <v>-1500000</v>
      </c>
      <c r="K18" s="19"/>
      <c r="L18" s="19"/>
      <c r="M18" s="62"/>
      <c r="N18" s="44">
        <f>SUM(E18:L18)</f>
        <v>0</v>
      </c>
    </row>
    <row r="19" spans="1:14" ht="10" customHeight="1" x14ac:dyDescent="0.2">
      <c r="A19" s="61"/>
      <c r="B19" s="36"/>
      <c r="C19" s="36"/>
      <c r="D19" s="37"/>
      <c r="E19" s="17"/>
      <c r="F19" s="18"/>
      <c r="G19" s="18"/>
      <c r="H19" s="18"/>
      <c r="I19" s="18"/>
      <c r="J19" s="19"/>
      <c r="K19" s="19"/>
      <c r="L19" s="19"/>
      <c r="M19" s="62"/>
      <c r="N19" s="49"/>
    </row>
    <row r="20" spans="1:14" ht="22" customHeight="1" x14ac:dyDescent="0.2">
      <c r="A20" s="86" t="s">
        <v>59</v>
      </c>
      <c r="B20" s="70" t="s">
        <v>93</v>
      </c>
      <c r="C20" s="70"/>
      <c r="D20" s="87"/>
      <c r="E20" s="20">
        <f>+E18+E15</f>
        <v>1076979.6800000002</v>
      </c>
      <c r="F20" s="21">
        <f>+F18+F15+E20</f>
        <v>1283757.8080000002</v>
      </c>
      <c r="G20" s="21">
        <f t="shared" ref="G20:L20" si="5">+G18+G15+F20</f>
        <v>1782791.4840000004</v>
      </c>
      <c r="H20" s="21">
        <f t="shared" si="5"/>
        <v>2661924.9417500007</v>
      </c>
      <c r="I20" s="21">
        <f t="shared" si="5"/>
        <v>4035582.3317968762</v>
      </c>
      <c r="J20" s="22">
        <f t="shared" si="5"/>
        <v>3874985.911851564</v>
      </c>
      <c r="K20" s="22">
        <f t="shared" si="5"/>
        <v>5243692.9938734397</v>
      </c>
      <c r="L20" s="22">
        <f t="shared" si="5"/>
        <v>7377466.6736141797</v>
      </c>
      <c r="M20" s="88"/>
      <c r="N20" s="52"/>
    </row>
    <row r="21" spans="1:14" ht="30" customHeight="1" x14ac:dyDescent="0.2">
      <c r="A21" s="5"/>
      <c r="B21" s="6"/>
      <c r="C21" s="6"/>
      <c r="D21" s="16"/>
      <c r="E21" s="14"/>
      <c r="F21" s="9"/>
      <c r="G21" s="9"/>
      <c r="H21" s="9"/>
      <c r="I21" s="9"/>
      <c r="J21" s="10"/>
      <c r="K21" s="10"/>
      <c r="L21" s="10"/>
      <c r="N21" s="7"/>
    </row>
    <row r="22" spans="1:14" ht="49.75" customHeight="1" x14ac:dyDescent="0.2">
      <c r="A22" s="12" t="s">
        <v>96</v>
      </c>
      <c r="E22" s="7"/>
      <c r="N22" s="7"/>
    </row>
    <row r="23" spans="1:14" ht="7" customHeight="1" x14ac:dyDescent="0.2">
      <c r="E23" s="7"/>
      <c r="N23" s="7"/>
    </row>
    <row r="24" spans="1:14" ht="30" customHeight="1" thickBot="1" x14ac:dyDescent="0.25">
      <c r="A24" s="53" t="s">
        <v>7</v>
      </c>
      <c r="B24" s="54" t="s">
        <v>8</v>
      </c>
      <c r="C24" s="54" t="s">
        <v>60</v>
      </c>
      <c r="D24" s="55" t="s">
        <v>61</v>
      </c>
      <c r="E24" s="56" t="s">
        <v>5</v>
      </c>
      <c r="F24" s="57" t="s">
        <v>4</v>
      </c>
      <c r="G24" s="57" t="s">
        <v>3</v>
      </c>
      <c r="H24" s="57" t="s">
        <v>2</v>
      </c>
      <c r="I24" s="57" t="s">
        <v>0</v>
      </c>
      <c r="J24" s="58" t="s">
        <v>1</v>
      </c>
      <c r="K24" s="58" t="s">
        <v>87</v>
      </c>
      <c r="L24" s="58" t="s">
        <v>88</v>
      </c>
      <c r="M24" s="59"/>
      <c r="N24" s="60" t="s">
        <v>11</v>
      </c>
    </row>
    <row r="25" spans="1:14" ht="11.5" customHeight="1" x14ac:dyDescent="0.2">
      <c r="A25" s="61"/>
      <c r="B25" s="36"/>
      <c r="C25" s="36"/>
      <c r="D25" s="37"/>
      <c r="E25" s="76"/>
      <c r="F25" s="77"/>
      <c r="G25" s="77"/>
      <c r="H25" s="77"/>
      <c r="I25" s="77"/>
      <c r="J25" s="78"/>
      <c r="K25" s="78"/>
      <c r="L25" s="78"/>
      <c r="M25" s="62"/>
      <c r="N25" s="49"/>
    </row>
    <row r="26" spans="1:14" ht="22" customHeight="1" x14ac:dyDescent="0.2">
      <c r="A26" s="61" t="s">
        <v>26</v>
      </c>
      <c r="B26" s="36" t="s">
        <v>25</v>
      </c>
      <c r="C26" s="36" t="s">
        <v>65</v>
      </c>
      <c r="D26" s="79" t="s">
        <v>64</v>
      </c>
      <c r="E26" s="29">
        <f>418000*3</f>
        <v>1254000</v>
      </c>
      <c r="F26" s="30">
        <f t="shared" ref="F26:I27" si="6">+E26*1.25</f>
        <v>1567500</v>
      </c>
      <c r="G26" s="30">
        <f t="shared" si="6"/>
        <v>1959375</v>
      </c>
      <c r="H26" s="30">
        <f t="shared" si="6"/>
        <v>2449218.75</v>
      </c>
      <c r="I26" s="30">
        <f t="shared" si="6"/>
        <v>3061523.4375</v>
      </c>
      <c r="J26" s="31">
        <f>+H26*1.25</f>
        <v>3061523.4375</v>
      </c>
      <c r="K26" s="31">
        <f t="shared" ref="K26:L27" si="7">+H26*1.25</f>
        <v>3061523.4375</v>
      </c>
      <c r="L26" s="31">
        <f t="shared" si="7"/>
        <v>3826904.296875</v>
      </c>
      <c r="M26" s="62"/>
      <c r="N26" s="47">
        <f>SUM(E26:L26)</f>
        <v>20241568.359375</v>
      </c>
    </row>
    <row r="27" spans="1:14" ht="22" customHeight="1" x14ac:dyDescent="0.2">
      <c r="A27" s="61" t="s">
        <v>27</v>
      </c>
      <c r="B27" s="36" t="s">
        <v>24</v>
      </c>
      <c r="C27" s="36" t="s">
        <v>65</v>
      </c>
      <c r="D27" s="79" t="s">
        <v>64</v>
      </c>
      <c r="E27" s="29">
        <f>622000*3</f>
        <v>1866000</v>
      </c>
      <c r="F27" s="30">
        <f t="shared" si="6"/>
        <v>2332500</v>
      </c>
      <c r="G27" s="30">
        <f t="shared" si="6"/>
        <v>2915625</v>
      </c>
      <c r="H27" s="30">
        <f t="shared" si="6"/>
        <v>3644531.25</v>
      </c>
      <c r="I27" s="30">
        <f t="shared" si="6"/>
        <v>4555664.0625</v>
      </c>
      <c r="J27" s="31">
        <f>+H27*1.25</f>
        <v>4555664.0625</v>
      </c>
      <c r="K27" s="31">
        <f t="shared" si="7"/>
        <v>4555664.0625</v>
      </c>
      <c r="L27" s="31">
        <f t="shared" si="7"/>
        <v>5694580.078125</v>
      </c>
      <c r="M27" s="62"/>
      <c r="N27" s="47">
        <f>SUM(E27:L27)</f>
        <v>30120228.515625</v>
      </c>
    </row>
    <row r="28" spans="1:14" ht="11" customHeight="1" x14ac:dyDescent="0.2">
      <c r="A28" s="61"/>
      <c r="B28" s="36"/>
      <c r="C28" s="36"/>
      <c r="D28" s="37"/>
      <c r="E28" s="29"/>
      <c r="F28" s="30"/>
      <c r="G28" s="30"/>
      <c r="H28" s="30"/>
      <c r="I28" s="30"/>
      <c r="J28" s="31"/>
      <c r="K28" s="31"/>
      <c r="L28" s="31"/>
      <c r="M28" s="62"/>
      <c r="N28" s="47"/>
    </row>
    <row r="29" spans="1:14" ht="22" customHeight="1" x14ac:dyDescent="0.2">
      <c r="A29" s="64" t="s">
        <v>28</v>
      </c>
      <c r="B29" s="65" t="s">
        <v>9</v>
      </c>
      <c r="C29" s="67" t="s">
        <v>11</v>
      </c>
      <c r="D29" s="80" t="s">
        <v>12</v>
      </c>
      <c r="E29" s="32">
        <f>+E27+E26</f>
        <v>3120000</v>
      </c>
      <c r="F29" s="33">
        <f t="shared" ref="F29:L29" si="8">+F27+F26</f>
        <v>3900000</v>
      </c>
      <c r="G29" s="33">
        <f t="shared" si="8"/>
        <v>4875000</v>
      </c>
      <c r="H29" s="33">
        <f t="shared" si="8"/>
        <v>6093750</v>
      </c>
      <c r="I29" s="33">
        <f t="shared" si="8"/>
        <v>7617187.5</v>
      </c>
      <c r="J29" s="34">
        <f t="shared" si="8"/>
        <v>7617187.5</v>
      </c>
      <c r="K29" s="34">
        <f t="shared" si="8"/>
        <v>7617187.5</v>
      </c>
      <c r="L29" s="34">
        <f t="shared" si="8"/>
        <v>9521484.375</v>
      </c>
      <c r="M29" s="81"/>
      <c r="N29" s="48">
        <f>SUM(E29:L29)</f>
        <v>50361796.875</v>
      </c>
    </row>
    <row r="30" spans="1:14" ht="13.75" customHeight="1" x14ac:dyDescent="0.2">
      <c r="A30" s="61"/>
      <c r="B30" s="36"/>
      <c r="C30" s="36"/>
      <c r="D30" s="37"/>
      <c r="E30" s="29"/>
      <c r="F30" s="30"/>
      <c r="G30" s="30"/>
      <c r="H30" s="30"/>
      <c r="I30" s="30"/>
      <c r="J30" s="31"/>
      <c r="K30" s="31"/>
      <c r="L30" s="31"/>
      <c r="M30" s="62"/>
      <c r="N30" s="47"/>
    </row>
    <row r="31" spans="1:14" ht="22" customHeight="1" x14ac:dyDescent="0.2">
      <c r="A31" s="61" t="s">
        <v>29</v>
      </c>
      <c r="B31" s="36" t="s">
        <v>10</v>
      </c>
      <c r="C31" s="36">
        <v>24</v>
      </c>
      <c r="D31" s="79" t="s">
        <v>84</v>
      </c>
      <c r="E31" s="29">
        <f>+E29*$C31</f>
        <v>74880000</v>
      </c>
      <c r="F31" s="30">
        <f t="shared" ref="F31:L31" si="9">+F29*$C31</f>
        <v>93600000</v>
      </c>
      <c r="G31" s="30">
        <f t="shared" si="9"/>
        <v>117000000</v>
      </c>
      <c r="H31" s="30">
        <f t="shared" si="9"/>
        <v>146250000</v>
      </c>
      <c r="I31" s="30">
        <f t="shared" si="9"/>
        <v>182812500</v>
      </c>
      <c r="J31" s="31">
        <f>+J29*$C31</f>
        <v>182812500</v>
      </c>
      <c r="K31" s="31">
        <f>+K29*$C31</f>
        <v>182812500</v>
      </c>
      <c r="L31" s="31">
        <f t="shared" si="9"/>
        <v>228515625</v>
      </c>
      <c r="M31" s="62"/>
      <c r="N31" s="47">
        <f>SUM(E31:L31)</f>
        <v>1208683125</v>
      </c>
    </row>
    <row r="32" spans="1:14" ht="22" customHeight="1" x14ac:dyDescent="0.2">
      <c r="A32" s="61" t="s">
        <v>30</v>
      </c>
      <c r="B32" s="36" t="s">
        <v>86</v>
      </c>
      <c r="C32" s="36">
        <v>2.5</v>
      </c>
      <c r="D32" s="37" t="s">
        <v>85</v>
      </c>
      <c r="E32" s="29">
        <f>+E29*$C32</f>
        <v>7800000</v>
      </c>
      <c r="F32" s="30">
        <f t="shared" ref="F32:L32" si="10">+F29*$C32</f>
        <v>9750000</v>
      </c>
      <c r="G32" s="30">
        <f t="shared" si="10"/>
        <v>12187500</v>
      </c>
      <c r="H32" s="30">
        <f t="shared" si="10"/>
        <v>15234375</v>
      </c>
      <c r="I32" s="30">
        <f t="shared" si="10"/>
        <v>19042968.75</v>
      </c>
      <c r="J32" s="31">
        <f>+J29*$C32</f>
        <v>19042968.75</v>
      </c>
      <c r="K32" s="31">
        <f>+K29*$C32</f>
        <v>19042968.75</v>
      </c>
      <c r="L32" s="31">
        <f t="shared" si="10"/>
        <v>23803710.9375</v>
      </c>
      <c r="M32" s="62"/>
      <c r="N32" s="47">
        <f>SUM(E32:L32)</f>
        <v>125904492.1875</v>
      </c>
    </row>
    <row r="33" spans="1:14" ht="11" customHeight="1" x14ac:dyDescent="0.2">
      <c r="A33" s="61"/>
      <c r="B33" s="36"/>
      <c r="C33" s="36"/>
      <c r="D33" s="37"/>
      <c r="E33" s="35"/>
      <c r="F33" s="36"/>
      <c r="G33" s="36"/>
      <c r="H33" s="36"/>
      <c r="I33" s="36"/>
      <c r="J33" s="37"/>
      <c r="K33" s="37"/>
      <c r="L33" s="37"/>
      <c r="M33" s="62"/>
      <c r="N33" s="49"/>
    </row>
    <row r="34" spans="1:14" ht="22" customHeight="1" x14ac:dyDescent="0.2">
      <c r="A34" s="69" t="s">
        <v>31</v>
      </c>
      <c r="B34" s="70" t="s">
        <v>13</v>
      </c>
      <c r="C34" s="82" t="s">
        <v>16</v>
      </c>
      <c r="D34" s="72" t="s">
        <v>17</v>
      </c>
      <c r="E34" s="38">
        <v>11.67</v>
      </c>
      <c r="F34" s="39">
        <f>+E34*1.05</f>
        <v>12.253500000000001</v>
      </c>
      <c r="G34" s="39">
        <f t="shared" ref="G34:L34" si="11">+F34*1.05</f>
        <v>12.866175000000002</v>
      </c>
      <c r="H34" s="39">
        <f t="shared" si="11"/>
        <v>13.509483750000003</v>
      </c>
      <c r="I34" s="39">
        <f t="shared" si="11"/>
        <v>14.184957937500004</v>
      </c>
      <c r="J34" s="40">
        <f t="shared" si="11"/>
        <v>14.894205834375004</v>
      </c>
      <c r="K34" s="40">
        <f t="shared" si="11"/>
        <v>15.638916126093754</v>
      </c>
      <c r="L34" s="40">
        <f t="shared" si="11"/>
        <v>16.420861932398441</v>
      </c>
      <c r="M34" s="83"/>
      <c r="N34" s="50"/>
    </row>
    <row r="35" spans="1:14" ht="22" customHeight="1" x14ac:dyDescent="0.2">
      <c r="A35" s="61" t="s">
        <v>32</v>
      </c>
      <c r="B35" s="36" t="s">
        <v>14</v>
      </c>
      <c r="C35" s="42">
        <v>1</v>
      </c>
      <c r="D35" s="37" t="s">
        <v>15</v>
      </c>
      <c r="E35" s="41">
        <v>1</v>
      </c>
      <c r="F35" s="42">
        <v>1</v>
      </c>
      <c r="G35" s="42">
        <v>1</v>
      </c>
      <c r="H35" s="42">
        <v>1</v>
      </c>
      <c r="I35" s="42">
        <v>1</v>
      </c>
      <c r="J35" s="43">
        <v>1</v>
      </c>
      <c r="K35" s="43">
        <v>1</v>
      </c>
      <c r="L35" s="43">
        <v>1</v>
      </c>
      <c r="M35" s="62"/>
      <c r="N35" s="49"/>
    </row>
    <row r="36" spans="1:14" ht="11" customHeight="1" x14ac:dyDescent="0.2">
      <c r="A36" s="61"/>
      <c r="B36" s="36"/>
      <c r="C36" s="36"/>
      <c r="D36" s="37"/>
      <c r="E36" s="35"/>
      <c r="F36" s="36"/>
      <c r="G36" s="36"/>
      <c r="H36" s="36"/>
      <c r="I36" s="36"/>
      <c r="J36" s="37"/>
      <c r="K36" s="37"/>
      <c r="L36" s="37"/>
      <c r="M36" s="62"/>
      <c r="N36" s="49"/>
    </row>
    <row r="37" spans="1:14" ht="22" customHeight="1" x14ac:dyDescent="0.2">
      <c r="A37" s="69" t="s">
        <v>33</v>
      </c>
      <c r="B37" s="70" t="s">
        <v>97</v>
      </c>
      <c r="C37" s="71" t="s">
        <v>18</v>
      </c>
      <c r="D37" s="72" t="s">
        <v>19</v>
      </c>
      <c r="E37" s="20">
        <f>(+E31/1000)*E34</f>
        <v>873849.6</v>
      </c>
      <c r="F37" s="21">
        <f t="shared" ref="F37:L37" si="12">(+F31/1000)*F34</f>
        <v>1146927.6000000001</v>
      </c>
      <c r="G37" s="21">
        <f t="shared" si="12"/>
        <v>1505342.4750000003</v>
      </c>
      <c r="H37" s="21">
        <f t="shared" si="12"/>
        <v>1975761.9984375003</v>
      </c>
      <c r="I37" s="21">
        <f t="shared" si="12"/>
        <v>2593187.6229492193</v>
      </c>
      <c r="J37" s="22">
        <f>(+J31/1000)*J34</f>
        <v>2722847.0040966803</v>
      </c>
      <c r="K37" s="22">
        <f>(+K31/1000)*K34</f>
        <v>2858989.3543015146</v>
      </c>
      <c r="L37" s="22">
        <f t="shared" si="12"/>
        <v>3752423.5275207376</v>
      </c>
      <c r="M37" s="83"/>
      <c r="N37" s="46">
        <f>SUM(E37:L37)</f>
        <v>17429329.182305653</v>
      </c>
    </row>
    <row r="38" spans="1:14" ht="13.75" customHeight="1" x14ac:dyDescent="0.2">
      <c r="A38" s="61"/>
      <c r="B38" s="36"/>
      <c r="C38" s="36"/>
      <c r="D38" s="79"/>
      <c r="E38" s="17"/>
      <c r="F38" s="18"/>
      <c r="G38" s="18"/>
      <c r="H38" s="18"/>
      <c r="I38" s="18"/>
      <c r="J38" s="19"/>
      <c r="K38" s="19"/>
      <c r="L38" s="19"/>
      <c r="M38" s="62"/>
      <c r="N38" s="49"/>
    </row>
    <row r="39" spans="1:14" ht="22" customHeight="1" x14ac:dyDescent="0.2">
      <c r="A39" s="69" t="s">
        <v>34</v>
      </c>
      <c r="B39" s="70" t="s">
        <v>98</v>
      </c>
      <c r="C39" s="70">
        <f>8*10/1000</f>
        <v>0.08</v>
      </c>
      <c r="D39" s="72" t="s">
        <v>35</v>
      </c>
      <c r="E39" s="20">
        <f t="shared" ref="E39:L39" si="13">+$C39*E29</f>
        <v>249600</v>
      </c>
      <c r="F39" s="21">
        <f t="shared" si="13"/>
        <v>312000</v>
      </c>
      <c r="G39" s="21">
        <f t="shared" si="13"/>
        <v>390000</v>
      </c>
      <c r="H39" s="21">
        <f t="shared" si="13"/>
        <v>487500</v>
      </c>
      <c r="I39" s="21">
        <f t="shared" si="13"/>
        <v>609375</v>
      </c>
      <c r="J39" s="22">
        <f t="shared" si="13"/>
        <v>609375</v>
      </c>
      <c r="K39" s="22">
        <f t="shared" si="13"/>
        <v>609375</v>
      </c>
      <c r="L39" s="22">
        <f t="shared" si="13"/>
        <v>761718.75</v>
      </c>
      <c r="M39" s="83"/>
      <c r="N39" s="46">
        <f>SUM(E39:L39)</f>
        <v>4028943.75</v>
      </c>
    </row>
    <row r="40" spans="1:14" ht="7" customHeight="1" x14ac:dyDescent="0.2">
      <c r="A40" s="74"/>
      <c r="B40" s="36"/>
      <c r="C40" s="36"/>
      <c r="D40" s="37"/>
      <c r="E40" s="35"/>
      <c r="F40" s="36"/>
      <c r="G40" s="36"/>
      <c r="H40" s="36"/>
      <c r="I40" s="36"/>
      <c r="J40" s="37"/>
      <c r="K40" s="37"/>
      <c r="L40" s="37"/>
      <c r="M40" s="62"/>
      <c r="N40" s="49"/>
    </row>
    <row r="41" spans="1:14" ht="22" customHeight="1" x14ac:dyDescent="0.2">
      <c r="A41" s="74"/>
      <c r="B41" s="62"/>
      <c r="C41" s="62"/>
      <c r="D41" s="84" t="s">
        <v>91</v>
      </c>
      <c r="E41" s="17">
        <f>+E37+E39</f>
        <v>1123449.6000000001</v>
      </c>
      <c r="F41" s="18">
        <f t="shared" ref="F41:L41" si="14">+F37+F39</f>
        <v>1458927.6</v>
      </c>
      <c r="G41" s="18">
        <f t="shared" si="14"/>
        <v>1895342.4750000003</v>
      </c>
      <c r="H41" s="18">
        <f t="shared" si="14"/>
        <v>2463261.9984375006</v>
      </c>
      <c r="I41" s="18">
        <f t="shared" si="14"/>
        <v>3202562.6229492193</v>
      </c>
      <c r="J41" s="19">
        <f t="shared" si="14"/>
        <v>3332222.0040966803</v>
      </c>
      <c r="K41" s="19">
        <f t="shared" si="14"/>
        <v>3468364.3543015146</v>
      </c>
      <c r="L41" s="19">
        <f t="shared" si="14"/>
        <v>4514142.2775207376</v>
      </c>
      <c r="M41" s="62"/>
      <c r="N41" s="49"/>
    </row>
    <row r="42" spans="1:14" ht="30" customHeight="1" x14ac:dyDescent="0.2">
      <c r="A42" s="5"/>
      <c r="D42" s="15"/>
      <c r="E42" s="13"/>
      <c r="F42" s="8"/>
      <c r="G42" s="8"/>
      <c r="H42" s="8"/>
      <c r="I42" s="8"/>
      <c r="J42" s="4"/>
      <c r="K42" s="4"/>
      <c r="L42" s="4"/>
      <c r="N42" s="7"/>
    </row>
    <row r="43" spans="1:14" ht="50" customHeight="1" x14ac:dyDescent="0.2">
      <c r="A43" s="11" t="s">
        <v>95</v>
      </c>
      <c r="E43" s="7"/>
      <c r="N43" s="7"/>
    </row>
    <row r="44" spans="1:14" ht="7.75" customHeight="1" x14ac:dyDescent="0.2">
      <c r="E44" s="7"/>
      <c r="N44" s="7"/>
    </row>
    <row r="45" spans="1:14" ht="30" customHeight="1" thickBot="1" x14ac:dyDescent="0.25">
      <c r="A45" s="53" t="s">
        <v>7</v>
      </c>
      <c r="B45" s="54" t="s">
        <v>8</v>
      </c>
      <c r="C45" s="54" t="s">
        <v>60</v>
      </c>
      <c r="D45" s="55" t="s">
        <v>61</v>
      </c>
      <c r="E45" s="56" t="s">
        <v>5</v>
      </c>
      <c r="F45" s="57" t="s">
        <v>4</v>
      </c>
      <c r="G45" s="57" t="s">
        <v>3</v>
      </c>
      <c r="H45" s="57" t="s">
        <v>2</v>
      </c>
      <c r="I45" s="57" t="s">
        <v>0</v>
      </c>
      <c r="J45" s="58" t="s">
        <v>1</v>
      </c>
      <c r="K45" s="58" t="s">
        <v>1</v>
      </c>
      <c r="L45" s="58" t="s">
        <v>1</v>
      </c>
      <c r="M45" s="59"/>
      <c r="N45" s="60" t="s">
        <v>11</v>
      </c>
    </row>
    <row r="46" spans="1:14" ht="10.75" customHeight="1" x14ac:dyDescent="0.2">
      <c r="A46" s="61"/>
      <c r="B46" s="36"/>
      <c r="C46" s="36"/>
      <c r="D46" s="37"/>
      <c r="E46" s="35"/>
      <c r="F46" s="36"/>
      <c r="G46" s="36"/>
      <c r="H46" s="36"/>
      <c r="I46" s="36"/>
      <c r="J46" s="37"/>
      <c r="K46" s="37"/>
      <c r="L46" s="37"/>
      <c r="M46" s="62"/>
      <c r="N46" s="49"/>
    </row>
    <row r="47" spans="1:14" ht="24" customHeight="1" x14ac:dyDescent="0.2">
      <c r="A47" s="61" t="s">
        <v>37</v>
      </c>
      <c r="B47" s="36" t="s">
        <v>69</v>
      </c>
      <c r="C47" s="36" t="s">
        <v>73</v>
      </c>
      <c r="D47" s="19">
        <v>200000</v>
      </c>
      <c r="E47" s="17">
        <f>+$D47/4</f>
        <v>50000</v>
      </c>
      <c r="F47" s="18">
        <f t="shared" ref="F47:L54" si="15">+$D47/4</f>
        <v>50000</v>
      </c>
      <c r="G47" s="18">
        <f t="shared" si="15"/>
        <v>50000</v>
      </c>
      <c r="H47" s="18">
        <f t="shared" si="15"/>
        <v>50000</v>
      </c>
      <c r="I47" s="18">
        <f t="shared" si="15"/>
        <v>50000</v>
      </c>
      <c r="J47" s="19">
        <f t="shared" si="15"/>
        <v>50000</v>
      </c>
      <c r="K47" s="19">
        <f t="shared" si="15"/>
        <v>50000</v>
      </c>
      <c r="L47" s="19">
        <f t="shared" si="15"/>
        <v>50000</v>
      </c>
      <c r="M47" s="63"/>
      <c r="N47" s="44">
        <f t="shared" ref="N47:N56" si="16">SUM(E47:L47)</f>
        <v>400000</v>
      </c>
    </row>
    <row r="48" spans="1:14" ht="24" customHeight="1" x14ac:dyDescent="0.2">
      <c r="A48" s="61" t="s">
        <v>38</v>
      </c>
      <c r="B48" s="36" t="s">
        <v>70</v>
      </c>
      <c r="C48" s="36" t="s">
        <v>77</v>
      </c>
      <c r="D48" s="19">
        <v>175000</v>
      </c>
      <c r="E48" s="17">
        <f t="shared" ref="E48:E54" si="17">+$D48/4</f>
        <v>43750</v>
      </c>
      <c r="F48" s="18">
        <f t="shared" si="15"/>
        <v>43750</v>
      </c>
      <c r="G48" s="18">
        <f t="shared" si="15"/>
        <v>43750</v>
      </c>
      <c r="H48" s="18">
        <f t="shared" si="15"/>
        <v>43750</v>
      </c>
      <c r="I48" s="18">
        <f t="shared" si="15"/>
        <v>43750</v>
      </c>
      <c r="J48" s="19">
        <f t="shared" si="15"/>
        <v>43750</v>
      </c>
      <c r="K48" s="19">
        <f t="shared" si="15"/>
        <v>43750</v>
      </c>
      <c r="L48" s="19">
        <f t="shared" si="15"/>
        <v>43750</v>
      </c>
      <c r="M48" s="63"/>
      <c r="N48" s="44">
        <f t="shared" si="16"/>
        <v>350000</v>
      </c>
    </row>
    <row r="49" spans="1:14" ht="24" customHeight="1" x14ac:dyDescent="0.2">
      <c r="A49" s="61" t="s">
        <v>39</v>
      </c>
      <c r="B49" s="36" t="s">
        <v>71</v>
      </c>
      <c r="C49" s="36" t="s">
        <v>73</v>
      </c>
      <c r="D49" s="19">
        <v>175000</v>
      </c>
      <c r="E49" s="17">
        <f t="shared" si="17"/>
        <v>43750</v>
      </c>
      <c r="F49" s="18">
        <f t="shared" si="15"/>
        <v>43750</v>
      </c>
      <c r="G49" s="18">
        <f t="shared" si="15"/>
        <v>43750</v>
      </c>
      <c r="H49" s="18">
        <f t="shared" si="15"/>
        <v>43750</v>
      </c>
      <c r="I49" s="18">
        <f t="shared" si="15"/>
        <v>43750</v>
      </c>
      <c r="J49" s="19">
        <f t="shared" si="15"/>
        <v>43750</v>
      </c>
      <c r="K49" s="19">
        <f t="shared" si="15"/>
        <v>43750</v>
      </c>
      <c r="L49" s="19">
        <f t="shared" si="15"/>
        <v>43750</v>
      </c>
      <c r="M49" s="63"/>
      <c r="N49" s="44">
        <f t="shared" si="16"/>
        <v>350000</v>
      </c>
    </row>
    <row r="50" spans="1:14" ht="24" customHeight="1" x14ac:dyDescent="0.2">
      <c r="A50" s="61" t="s">
        <v>40</v>
      </c>
      <c r="B50" s="36" t="s">
        <v>90</v>
      </c>
      <c r="C50" s="36" t="s">
        <v>73</v>
      </c>
      <c r="D50" s="19">
        <f>120000*2</f>
        <v>240000</v>
      </c>
      <c r="E50" s="17">
        <f t="shared" si="17"/>
        <v>60000</v>
      </c>
      <c r="F50" s="18">
        <f t="shared" si="15"/>
        <v>60000</v>
      </c>
      <c r="G50" s="18">
        <f t="shared" si="15"/>
        <v>60000</v>
      </c>
      <c r="H50" s="18">
        <f t="shared" si="15"/>
        <v>60000</v>
      </c>
      <c r="I50" s="18">
        <f t="shared" si="15"/>
        <v>60000</v>
      </c>
      <c r="J50" s="19">
        <f t="shared" si="15"/>
        <v>60000</v>
      </c>
      <c r="K50" s="19">
        <f t="shared" si="15"/>
        <v>60000</v>
      </c>
      <c r="L50" s="19">
        <f t="shared" si="15"/>
        <v>60000</v>
      </c>
      <c r="M50" s="63"/>
      <c r="N50" s="44">
        <f t="shared" si="16"/>
        <v>480000</v>
      </c>
    </row>
    <row r="51" spans="1:14" ht="24" customHeight="1" x14ac:dyDescent="0.2">
      <c r="A51" s="61" t="s">
        <v>41</v>
      </c>
      <c r="B51" s="36" t="s">
        <v>72</v>
      </c>
      <c r="C51" s="36" t="s">
        <v>73</v>
      </c>
      <c r="D51" s="19">
        <v>150000</v>
      </c>
      <c r="E51" s="17">
        <f t="shared" si="17"/>
        <v>37500</v>
      </c>
      <c r="F51" s="18">
        <f t="shared" si="15"/>
        <v>37500</v>
      </c>
      <c r="G51" s="18">
        <f t="shared" si="15"/>
        <v>37500</v>
      </c>
      <c r="H51" s="18">
        <f t="shared" si="15"/>
        <v>37500</v>
      </c>
      <c r="I51" s="18">
        <f t="shared" si="15"/>
        <v>37500</v>
      </c>
      <c r="J51" s="19">
        <f t="shared" si="15"/>
        <v>37500</v>
      </c>
      <c r="K51" s="19">
        <f t="shared" si="15"/>
        <v>37500</v>
      </c>
      <c r="L51" s="19">
        <f t="shared" si="15"/>
        <v>37500</v>
      </c>
      <c r="M51" s="63"/>
      <c r="N51" s="44">
        <f t="shared" si="16"/>
        <v>300000</v>
      </c>
    </row>
    <row r="52" spans="1:14" ht="24" customHeight="1" x14ac:dyDescent="0.2">
      <c r="A52" s="61" t="s">
        <v>42</v>
      </c>
      <c r="B52" s="36" t="s">
        <v>81</v>
      </c>
      <c r="C52" s="36" t="s">
        <v>73</v>
      </c>
      <c r="D52" s="19">
        <v>120000</v>
      </c>
      <c r="E52" s="17">
        <f t="shared" si="17"/>
        <v>30000</v>
      </c>
      <c r="F52" s="18">
        <f t="shared" si="15"/>
        <v>30000</v>
      </c>
      <c r="G52" s="18">
        <f t="shared" si="15"/>
        <v>30000</v>
      </c>
      <c r="H52" s="18">
        <f t="shared" si="15"/>
        <v>30000</v>
      </c>
      <c r="I52" s="18">
        <f t="shared" si="15"/>
        <v>30000</v>
      </c>
      <c r="J52" s="19">
        <f t="shared" si="15"/>
        <v>30000</v>
      </c>
      <c r="K52" s="19">
        <f t="shared" si="15"/>
        <v>30000</v>
      </c>
      <c r="L52" s="19">
        <f t="shared" si="15"/>
        <v>30000</v>
      </c>
      <c r="M52" s="63"/>
      <c r="N52" s="44">
        <f t="shared" si="16"/>
        <v>240000</v>
      </c>
    </row>
    <row r="53" spans="1:14" ht="24" customHeight="1" x14ac:dyDescent="0.2">
      <c r="A53" s="61" t="s">
        <v>43</v>
      </c>
      <c r="B53" s="36" t="s">
        <v>82</v>
      </c>
      <c r="C53" s="36" t="s">
        <v>73</v>
      </c>
      <c r="D53" s="19">
        <v>120000</v>
      </c>
      <c r="E53" s="17">
        <f t="shared" si="17"/>
        <v>30000</v>
      </c>
      <c r="F53" s="18">
        <f t="shared" si="15"/>
        <v>30000</v>
      </c>
      <c r="G53" s="18">
        <f t="shared" si="15"/>
        <v>30000</v>
      </c>
      <c r="H53" s="18">
        <f t="shared" si="15"/>
        <v>30000</v>
      </c>
      <c r="I53" s="18">
        <f t="shared" si="15"/>
        <v>30000</v>
      </c>
      <c r="J53" s="19">
        <f t="shared" si="15"/>
        <v>30000</v>
      </c>
      <c r="K53" s="19">
        <f t="shared" si="15"/>
        <v>30000</v>
      </c>
      <c r="L53" s="19">
        <f t="shared" si="15"/>
        <v>30000</v>
      </c>
      <c r="M53" s="63"/>
      <c r="N53" s="44">
        <f t="shared" si="16"/>
        <v>240000</v>
      </c>
    </row>
    <row r="54" spans="1:14" ht="24" customHeight="1" x14ac:dyDescent="0.2">
      <c r="A54" s="61" t="s">
        <v>44</v>
      </c>
      <c r="B54" s="36" t="s">
        <v>80</v>
      </c>
      <c r="C54" s="36" t="s">
        <v>73</v>
      </c>
      <c r="D54" s="19">
        <v>150000</v>
      </c>
      <c r="E54" s="17">
        <f t="shared" si="17"/>
        <v>37500</v>
      </c>
      <c r="F54" s="18">
        <f t="shared" si="15"/>
        <v>37500</v>
      </c>
      <c r="G54" s="18">
        <f t="shared" si="15"/>
        <v>37500</v>
      </c>
      <c r="H54" s="18">
        <f t="shared" si="15"/>
        <v>37500</v>
      </c>
      <c r="I54" s="18">
        <f t="shared" si="15"/>
        <v>37500</v>
      </c>
      <c r="J54" s="19">
        <f t="shared" si="15"/>
        <v>37500</v>
      </c>
      <c r="K54" s="19">
        <f t="shared" si="15"/>
        <v>37500</v>
      </c>
      <c r="L54" s="19">
        <f t="shared" si="15"/>
        <v>37500</v>
      </c>
      <c r="M54" s="63"/>
      <c r="N54" s="44">
        <f t="shared" si="16"/>
        <v>300000</v>
      </c>
    </row>
    <row r="55" spans="1:14" ht="24" customHeight="1" x14ac:dyDescent="0.2">
      <c r="A55" s="64" t="s">
        <v>45</v>
      </c>
      <c r="B55" s="65" t="s">
        <v>92</v>
      </c>
      <c r="C55" s="65" t="s">
        <v>74</v>
      </c>
      <c r="D55" s="25">
        <v>1710</v>
      </c>
      <c r="E55" s="23">
        <v>758000</v>
      </c>
      <c r="F55" s="24">
        <f>(15*13*$D55)+(E41*0.1)</f>
        <v>445794.96</v>
      </c>
      <c r="G55" s="24">
        <f t="shared" ref="G55:L55" si="18">(15*13*$D55)+(F41*0.1)</f>
        <v>479342.76</v>
      </c>
      <c r="H55" s="24">
        <f t="shared" si="18"/>
        <v>522984.24750000006</v>
      </c>
      <c r="I55" s="24">
        <f t="shared" si="18"/>
        <v>579776.1998437501</v>
      </c>
      <c r="J55" s="25">
        <f t="shared" si="18"/>
        <v>653706.26229492202</v>
      </c>
      <c r="K55" s="25">
        <f t="shared" si="18"/>
        <v>666672.20040966803</v>
      </c>
      <c r="L55" s="25">
        <f t="shared" si="18"/>
        <v>680286.43543015141</v>
      </c>
      <c r="M55" s="66"/>
      <c r="N55" s="45">
        <f t="shared" si="16"/>
        <v>4786563.0654784925</v>
      </c>
    </row>
    <row r="56" spans="1:14" ht="24" customHeight="1" x14ac:dyDescent="0.2">
      <c r="A56" s="61" t="s">
        <v>46</v>
      </c>
      <c r="B56" s="36" t="s">
        <v>89</v>
      </c>
      <c r="C56" s="36" t="s">
        <v>75</v>
      </c>
      <c r="D56" s="43">
        <v>0.2</v>
      </c>
      <c r="E56" s="17">
        <f t="shared" ref="E56:L56" si="19">+E37*$D56</f>
        <v>174769.92000000001</v>
      </c>
      <c r="F56" s="18">
        <f t="shared" si="19"/>
        <v>229385.52000000002</v>
      </c>
      <c r="G56" s="18">
        <f t="shared" si="19"/>
        <v>301068.49500000005</v>
      </c>
      <c r="H56" s="18">
        <f t="shared" si="19"/>
        <v>395152.39968750009</v>
      </c>
      <c r="I56" s="18">
        <f t="shared" si="19"/>
        <v>518637.52458984387</v>
      </c>
      <c r="J56" s="19">
        <f t="shared" si="19"/>
        <v>544569.40081933606</v>
      </c>
      <c r="K56" s="19">
        <f t="shared" si="19"/>
        <v>571797.87086030294</v>
      </c>
      <c r="L56" s="19">
        <f t="shared" si="19"/>
        <v>750484.70550414757</v>
      </c>
      <c r="M56" s="63"/>
      <c r="N56" s="44">
        <f t="shared" si="16"/>
        <v>3485865.8364611305</v>
      </c>
    </row>
    <row r="57" spans="1:14" ht="24" customHeight="1" x14ac:dyDescent="0.2">
      <c r="A57" s="64" t="s">
        <v>47</v>
      </c>
      <c r="B57" s="65" t="s">
        <v>66</v>
      </c>
      <c r="C57" s="67" t="s">
        <v>67</v>
      </c>
      <c r="D57" s="68" t="s">
        <v>68</v>
      </c>
      <c r="E57" s="23">
        <v>75000</v>
      </c>
      <c r="F57" s="24">
        <f>+E57+(E41*0.02)</f>
        <v>97468.991999999998</v>
      </c>
      <c r="G57" s="24">
        <f t="shared" ref="G57:L57" si="20">+F57+(F41*0.02)</f>
        <v>126647.54399999999</v>
      </c>
      <c r="H57" s="24">
        <f t="shared" si="20"/>
        <v>164554.39350000001</v>
      </c>
      <c r="I57" s="24">
        <f t="shared" si="20"/>
        <v>213819.63346875002</v>
      </c>
      <c r="J57" s="25">
        <f t="shared" si="20"/>
        <v>277870.88592773443</v>
      </c>
      <c r="K57" s="25">
        <f t="shared" si="20"/>
        <v>344515.32600966806</v>
      </c>
      <c r="L57" s="25">
        <f t="shared" si="20"/>
        <v>413882.61309569835</v>
      </c>
      <c r="M57" s="66"/>
      <c r="N57" s="45">
        <f>SUM(E57:L57)</f>
        <v>1713759.3880018508</v>
      </c>
    </row>
    <row r="58" spans="1:14" ht="24" customHeight="1" x14ac:dyDescent="0.2">
      <c r="A58" s="61" t="s">
        <v>48</v>
      </c>
      <c r="B58" s="36" t="s">
        <v>76</v>
      </c>
      <c r="C58" s="36" t="s">
        <v>78</v>
      </c>
      <c r="D58" s="37"/>
      <c r="E58" s="17">
        <v>60000</v>
      </c>
      <c r="F58" s="18">
        <v>60000</v>
      </c>
      <c r="G58" s="18">
        <v>60000</v>
      </c>
      <c r="H58" s="18">
        <v>60000</v>
      </c>
      <c r="I58" s="18">
        <v>60000</v>
      </c>
      <c r="J58" s="19">
        <v>60000</v>
      </c>
      <c r="K58" s="19">
        <v>60000</v>
      </c>
      <c r="L58" s="19">
        <v>60000</v>
      </c>
      <c r="M58" s="63"/>
      <c r="N58" s="44">
        <f>SUM(E58:L58)</f>
        <v>480000</v>
      </c>
    </row>
    <row r="59" spans="1:14" ht="24" customHeight="1" x14ac:dyDescent="0.2">
      <c r="A59" s="61" t="s">
        <v>49</v>
      </c>
      <c r="B59" s="36" t="s">
        <v>83</v>
      </c>
      <c r="C59" s="36" t="s">
        <v>16</v>
      </c>
      <c r="D59" s="37"/>
      <c r="E59" s="17">
        <v>115000</v>
      </c>
      <c r="F59" s="18">
        <v>48000</v>
      </c>
      <c r="G59" s="18">
        <v>48000</v>
      </c>
      <c r="H59" s="18">
        <v>48000</v>
      </c>
      <c r="I59" s="18">
        <v>48000</v>
      </c>
      <c r="J59" s="19">
        <v>48000</v>
      </c>
      <c r="K59" s="19">
        <v>48000</v>
      </c>
      <c r="L59" s="19">
        <v>48000</v>
      </c>
      <c r="M59" s="63"/>
      <c r="N59" s="44">
        <f>SUM(E59:L59)</f>
        <v>451000</v>
      </c>
    </row>
    <row r="60" spans="1:14" ht="24" customHeight="1" x14ac:dyDescent="0.2">
      <c r="A60" s="69" t="s">
        <v>50</v>
      </c>
      <c r="B60" s="70" t="s">
        <v>62</v>
      </c>
      <c r="C60" s="71">
        <v>0.01</v>
      </c>
      <c r="D60" s="72" t="s">
        <v>63</v>
      </c>
      <c r="E60" s="20">
        <f t="shared" ref="E60:L60" si="21">+(E26+E27)*$C60</f>
        <v>31200</v>
      </c>
      <c r="F60" s="21">
        <f t="shared" si="21"/>
        <v>39000</v>
      </c>
      <c r="G60" s="21">
        <f t="shared" si="21"/>
        <v>48750</v>
      </c>
      <c r="H60" s="21">
        <f t="shared" si="21"/>
        <v>60937.5</v>
      </c>
      <c r="I60" s="21">
        <f t="shared" si="21"/>
        <v>76171.875</v>
      </c>
      <c r="J60" s="22">
        <f t="shared" si="21"/>
        <v>76171.875</v>
      </c>
      <c r="K60" s="22">
        <f t="shared" si="21"/>
        <v>76171.875</v>
      </c>
      <c r="L60" s="22">
        <f t="shared" si="21"/>
        <v>95214.84375</v>
      </c>
      <c r="M60" s="73"/>
      <c r="N60" s="46">
        <f>SUM(E60:L60)</f>
        <v>503617.96875</v>
      </c>
    </row>
    <row r="61" spans="1:14" ht="7" customHeight="1" x14ac:dyDescent="0.2">
      <c r="A61" s="74"/>
      <c r="B61" s="62"/>
      <c r="C61" s="62"/>
      <c r="D61" s="75"/>
      <c r="E61" s="35"/>
      <c r="F61" s="36"/>
      <c r="G61" s="36"/>
      <c r="H61" s="36"/>
      <c r="I61" s="36"/>
      <c r="J61" s="37"/>
      <c r="K61" s="37"/>
      <c r="L61" s="37"/>
      <c r="M61" s="62"/>
      <c r="N61" s="49"/>
    </row>
    <row r="62" spans="1:14" ht="24.5" customHeight="1" x14ac:dyDescent="0.2">
      <c r="A62" s="74"/>
      <c r="B62" s="62"/>
      <c r="C62" s="62"/>
      <c r="D62" s="62" t="s">
        <v>22</v>
      </c>
      <c r="E62" s="17">
        <f>SUM(E47:E60)</f>
        <v>1546469.92</v>
      </c>
      <c r="F62" s="18">
        <f t="shared" ref="F62:L62" si="22">SUM(F47:F60)</f>
        <v>1252149.4720000001</v>
      </c>
      <c r="G62" s="18">
        <f t="shared" si="22"/>
        <v>1396308.7990000001</v>
      </c>
      <c r="H62" s="18">
        <f t="shared" si="22"/>
        <v>1584128.5406875003</v>
      </c>
      <c r="I62" s="18">
        <f t="shared" si="22"/>
        <v>1828905.2329023439</v>
      </c>
      <c r="J62" s="19">
        <f>SUM(J47:J60)</f>
        <v>1992818.4240419925</v>
      </c>
      <c r="K62" s="19">
        <f>SUM(K47:K60)</f>
        <v>2099657.2722796388</v>
      </c>
      <c r="L62" s="19">
        <f t="shared" si="22"/>
        <v>2380368.5977799972</v>
      </c>
      <c r="M62" s="62"/>
      <c r="N62" s="49"/>
    </row>
  </sheetData>
  <phoneticPr fontId="1" type="noConversion"/>
  <printOptions horizontalCentered="1"/>
  <pageMargins left="0.39370078740157483" right="0.39370078740157483" top="0.39370078740157483" bottom="0.39370078740157483" header="0.31496062992125984" footer="0.31496062992125984"/>
  <pageSetup scale="45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Jamie Branson</dc:creator>
  <cp:lastModifiedBy>Jamie Branson</cp:lastModifiedBy>
  <cp:lastPrinted>2024-05-10T01:20:27Z</cp:lastPrinted>
  <dcterms:created xsi:type="dcterms:W3CDTF">2024-04-22T22:39:01Z</dcterms:created>
  <dcterms:modified xsi:type="dcterms:W3CDTF">2024-11-17T22:46:28Z</dcterms:modified>
</cp:coreProperties>
</file>